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aretearchitecture-my.sharepoint.com/personal/mike_g_arete-architecture_design/Documents/Desktop/Claude Cowork/"/>
    </mc:Choice>
  </mc:AlternateContent>
  <xr:revisionPtr revIDLastSave="2" documentId="11_86702639260596D2C4865E1BC8520B22B51796E2" xr6:coauthVersionLast="47" xr6:coauthVersionMax="47" xr10:uidLastSave="{E37F715B-6B36-4060-B0AA-221B9BFEDE87}"/>
  <bookViews>
    <workbookView xWindow="38290" yWindow="-110" windowWidth="38620" windowHeight="21100" xr2:uid="{00000000-000D-0000-FFFF-FFFF00000000}"/>
  </bookViews>
  <sheets>
    <sheet name="AFH Home Analysis" sheetId="1" r:id="rId1"/>
    <sheet name="Definitions &amp; Sources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0" i="1"/>
  <c r="F8" i="1"/>
  <c r="F13" i="1" l="1"/>
  <c r="F14" i="1" s="1"/>
  <c r="F12" i="1"/>
  <c r="F9" i="1"/>
  <c r="H13" i="1"/>
  <c r="H8" i="1"/>
  <c r="H10" i="1" s="1"/>
  <c r="H9" i="1" l="1"/>
  <c r="F15" i="1"/>
  <c r="F16" i="1" s="1"/>
  <c r="H11" i="1" s="1"/>
  <c r="H12" i="1" s="1"/>
  <c r="C25" i="1" l="1"/>
  <c r="C27" i="1"/>
  <c r="C26" i="1"/>
  <c r="D25" i="1" l="1"/>
  <c r="J25" i="1"/>
  <c r="K25" i="1" s="1"/>
  <c r="D27" i="1"/>
  <c r="J27" i="1"/>
  <c r="K27" i="1" s="1"/>
  <c r="D26" i="1"/>
  <c r="J26" i="1"/>
  <c r="K26" i="1" s="1"/>
  <c r="H25" i="1" l="1"/>
  <c r="E25" i="1"/>
  <c r="F25" i="1"/>
  <c r="G25" i="1"/>
  <c r="H27" i="1"/>
  <c r="F27" i="1"/>
  <c r="E27" i="1"/>
  <c r="G27" i="1"/>
  <c r="H26" i="1"/>
  <c r="E26" i="1"/>
  <c r="G26" i="1"/>
  <c r="F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C8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Enter licensed capacity. The tool supports up to 8 beds.</t>
        </r>
      </text>
    </comment>
    <comment ref="C9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Example: one bed vacant for six months = 6 vacant bed-months. Two beds vacant for three months each also = 6.</t>
        </r>
      </text>
    </comment>
    <comment ref="C10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Default source: Washington HCA published weighted average AFH daily rate effective July 1, 2026. https://lawfilesext.leg.wa.gov/law/wsr/2026/14/26-14-088.htm</t>
        </r>
      </text>
    </comment>
    <comment ref="C11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Planning input. Use the typical monthly private-pay revenue actually collected per resident.</t>
        </r>
      </text>
    </comment>
    <comment ref="C12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Default is Washington statewide 2026 minimum wage. Local minimum wages may be higher and actual caregiver wages may exceed minimum wage. Verify your applicable wage. https://lni.wa.gov/workers-rights/wages/minimum-wage/</t>
        </r>
      </text>
    </comment>
    <comment ref="C13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Number of caregivers simultaneously required during the 12 daytime hours used in this model.</t>
        </r>
      </text>
    </comment>
    <comment ref="C14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Number of caregivers simultaneously required during the 12 overnight hours used in this model.</t>
        </r>
      </text>
    </comment>
    <comment ref="C15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Planning allowance for employer costs above base wages, such as employer payroll taxes, workers compensation, unemployment insurance, paid-leave/relief burden, and other payroll-related costs. 18% is a planning assumption, not a Washington statutory rate.</t>
        </r>
      </text>
    </comment>
    <comment ref="C16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Planning input. Replace with your own average daily food and direct resident-supply cost.</t>
        </r>
      </text>
    </comment>
    <comment ref="C17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Use the average number of occupied residents whose revenue is Medicaid. Because vacancy is annualized, a decimal is acceptable.</t>
        </r>
      </text>
    </comment>
  </commentList>
</comments>
</file>

<file path=xl/sharedStrings.xml><?xml version="1.0" encoding="utf-8"?>
<sst xmlns="http://schemas.openxmlformats.org/spreadsheetml/2006/main" count="90" uniqueCount="84">
  <si>
    <t>AFH HOME ANALYSIS TOOL</t>
  </si>
  <si>
    <t>Use a few inputs from your home to estimate staffing cost, contribution margin, required blended ADR, and payer mix.</t>
  </si>
  <si>
    <t>Blue numbers are inputs. Change them. All other figures calculate automatically.</t>
  </si>
  <si>
    <t>Important: This is a simplified educational planning model—not legal, employment, accounting, Medicaid reimbursement, or operating advice.</t>
  </si>
  <si>
    <t>1. ENTER YOUR HOME ASSUMPTIONS</t>
  </si>
  <si>
    <t>2. YOUR HOME AT A GLANCE</t>
  </si>
  <si>
    <t>Licensed beds</t>
  </si>
  <si>
    <t>Average occupied beds</t>
  </si>
  <si>
    <t>Current private-pay residents</t>
  </si>
  <si>
    <t>Expected vacant bed-months / year</t>
  </si>
  <si>
    <t>Occupied resident-days / year</t>
  </si>
  <si>
    <t>Current blended ADR</t>
  </si>
  <si>
    <t>Medicaid Average Daily Revenue (ADR)</t>
  </si>
  <si>
    <t>Required staffing hours / week</t>
  </si>
  <si>
    <t>Current annual resident revenue</t>
  </si>
  <si>
    <t>Private-pay monthly rate</t>
  </si>
  <si>
    <t>Required staffing hours / year</t>
  </si>
  <si>
    <t>Current contribution ($)</t>
  </si>
  <si>
    <t>Caregiver hourly wage</t>
  </si>
  <si>
    <t>Scheduled coverage (Full-Time Equivalent)</t>
  </si>
  <si>
    <t>Current contribution margin</t>
  </si>
  <si>
    <t>Daytime caregivers required (12 hrs/day)</t>
  </si>
  <si>
    <t>Annual base caregiver wages</t>
  </si>
  <si>
    <t>Input check</t>
  </si>
  <si>
    <t>Overnight caregivers required (12 hrs/day)</t>
  </si>
  <si>
    <t>Estimated loaded caregiver labor</t>
  </si>
  <si>
    <t>Employer Labor Load</t>
  </si>
  <si>
    <t>Food + direct resident supplies</t>
  </si>
  <si>
    <t>Food + direct resident supplies / occupied day</t>
  </si>
  <si>
    <t>Total direct resident-care cost</t>
  </si>
  <si>
    <t>Current average Medicaid residents</t>
  </si>
  <si>
    <t>FTE means Full-Time Equivalent: total coverage hours expressed as 40-hour/week positions. It is not a recommended headcount and does not include a relief/PTO staffing allowance.</t>
  </si>
  <si>
    <t>How vacancy works:</t>
  </si>
  <si>
    <t>Enter total vacant bed-months for the year. Example: 6 means the equivalent of one bed empty for six months, reducing a 6-bed home to 5.5 average occupied beds.</t>
  </si>
  <si>
    <t>3. WHAT DOES YOUR HOME NEED TO REACH A HEALTHY CONTRIBUTION MARGIN?</t>
  </si>
  <si>
    <t>Planning benchmarks used in this analysis: 35% = minimum healthy target, 40% = strong target, 50% = excellent / premium target. These are planning benchmarks—not AFH industry standards.</t>
  </si>
  <si>
    <t>Planning Target</t>
  </si>
  <si>
    <t>Required Annual Revenue</t>
  </si>
  <si>
    <t>Required Blended ADR</t>
  </si>
  <si>
    <t>Avg Private-Pay Residents Needed</t>
  </si>
  <si>
    <t>Avg Medicaid Residents Supported</t>
  </si>
  <si>
    <t>Private-Pay Share</t>
  </si>
  <si>
    <t>Result</t>
  </si>
  <si>
    <t>How to read resident counts: these are annual average residents. Fractional values reflect vacancy and payer mix over the year. Example: 2.8 Medicaid residents means the home averages the revenue equivalent of 2.8 occupied Medicaid beds across the year.</t>
  </si>
  <si>
    <t>Testing 8 beds: change Licensed beds to 8. If the larger home requires more caregivers, also change the daytime and/or overnight staffing inputs. The tool only improves the economics of added capacity when the added revenue outpaces added direct cost.</t>
  </si>
  <si>
    <t>4. WHAT THE MODEL INCLUDES — AND WHAT IT LEAVES OUT</t>
  </si>
  <si>
    <t>Included in direct cost</t>
  </si>
  <si>
    <t>Caregiver wages + Employer Labor Load + food + direct resident supplies.</t>
  </si>
  <si>
    <t>Not included</t>
  </si>
  <si>
    <t>Mortgage/rent, utilities, insurance, bookkeeping, licensing, marketing, professional fees, repairs, capital reserves, administration, debt service, taxes, or ownership return.</t>
  </si>
  <si>
    <t>Why</t>
  </si>
  <si>
    <t>Those costs vary too widely by property and provider. This tool first asks whether resident-care operations create enough contribution to support the rest of the business.</t>
  </si>
  <si>
    <t>Contribution margin = (Resident revenue − direct resident-care cost) ÷ Resident revenue.</t>
  </si>
  <si>
    <t>DEFINITIONS &amp; SOURCES</t>
  </si>
  <si>
    <t>TERM</t>
  </si>
  <si>
    <t>PLAIN-LANGUAGE DEFINITION</t>
  </si>
  <si>
    <t>Average Daily Revenue (ADR)</t>
  </si>
  <si>
    <t>Average resident revenue per occupied resident-day. Blended ADR averages Medicaid and private-pay revenue across occupied resident-days.</t>
  </si>
  <si>
    <t>Contribution margin</t>
  </si>
  <si>
    <t>Resident revenue minus the direct resident-care costs included in this tool, divided by resident revenue. It is not net profit.</t>
  </si>
  <si>
    <t>A planning allowance for employer costs above base wages, such as employer payroll taxes, workers compensation, unemployment insurance, paid-leave/relief burden, and other payroll-related costs. The default 18% is an assumption, not a statutory rate.</t>
  </si>
  <si>
    <t>Full-Time Equivalent (FTE)</t>
  </si>
  <si>
    <t>A way to express coverage hours as the equivalent of 40-hour/week positions. It is not a recommended employee headcount and does not include a relief/PTO allowance.</t>
  </si>
  <si>
    <t>Vacant bed-month</t>
  </si>
  <si>
    <t>One licensed bed unoccupied for one month. Example: one bed empty for six months = six vacant bed-months.</t>
  </si>
  <si>
    <t>Average resident count</t>
  </si>
  <si>
    <t>An annualized average. Fractional values can occur because vacancy and payer mix are averaged across the year.</t>
  </si>
  <si>
    <t>MODEL SOURCES / CURRENT REFERENCE INPUTS</t>
  </si>
  <si>
    <t>Washington Medicaid AFH weighted average daily rate</t>
  </si>
  <si>
    <t>https://lawfilesext.leg.wa.gov/law/wsr/2026/14/26-14-088.htm</t>
  </si>
  <si>
    <t>Washington statewide minimum wage</t>
  </si>
  <si>
    <t>https://lni.wa.gov/workers-rights/wages/minimum-wage/</t>
  </si>
  <si>
    <t>Washington overtime overview</t>
  </si>
  <si>
    <t>https://lni.wa.gov/workers-rights/wages/overtime/</t>
  </si>
  <si>
    <t>Washington Supreme Court — Bolina v. AssureCare Adult Home LLC</t>
  </si>
  <si>
    <t>https://www.courts.wa.gov/opinions/pdf/1035195.pdf</t>
  </si>
  <si>
    <t>IMPORTANT LIMITATIONS</t>
  </si>
  <si>
    <t>•</t>
  </si>
  <si>
    <t>This tool is designed for educational financial planning and uses simplified assumptions.</t>
  </si>
  <si>
    <t>It does not determine whether a staffing plan is legally compliant or clinically appropriate.</t>
  </si>
  <si>
    <t>It does not calculate employee-specific overtime schedules. It assumes the entered coverage can be intentionally scheduled without routine overtime; actual staffing requires adequate relief and scheduling capacity.</t>
  </si>
  <si>
    <t>It does not include rent or room-and-board deductions for live-in caregivers.</t>
  </si>
  <si>
    <t>It does not include facility and administrative overhead; compare contribution dollars with your own fixed costs.</t>
  </si>
  <si>
    <t>Providers should verify wage, overtime, reimbursement, licensing, employment, and tax requirements applicable to their own home.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</si>
</sst>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;[Red]\(0.0\);\-"/>
    <numFmt numFmtId="165" formatCode="0.0"/>
    <numFmt numFmtId="166" formatCode="#,##0;[Red]\(#,##0\);\-"/>
    <numFmt numFmtId="167" formatCode="\$0.00;[Red]\(\$0.00\);\-"/>
    <numFmt numFmtId="168" formatCode="\$#,##0;[Red]\(\$#,##0\);\-"/>
    <numFmt numFmtId="169" formatCode="0.0%;[Red]\(0.0%\);\-"/>
  </numFmts>
  <fonts count="19" x14ac:knownFonts="1">
    <font>
      <sz val="11"/>
      <color theme="1"/>
      <name val="Calibri"/>
      <family val="2"/>
      <scheme val="minor"/>
    </font>
    <font>
      <b/>
      <sz val="20"/>
      <color rgb="FFFFFFFF"/>
      <name val="Aptos Display"/>
    </font>
    <font>
      <i/>
      <sz val="11"/>
      <color rgb="FF666666"/>
      <name val="Aptos"/>
    </font>
    <font>
      <b/>
      <sz val="10"/>
      <color rgb="FF0000FF"/>
      <name val="Aptos"/>
    </font>
    <font>
      <sz val="9"/>
      <color rgb="FF666666"/>
      <name val="Aptos"/>
    </font>
    <font>
      <b/>
      <sz val="11"/>
      <color rgb="FFFFFFFF"/>
      <name val="Aptos"/>
    </font>
    <font>
      <sz val="10"/>
      <color rgb="FF000000"/>
      <name val="Aptos"/>
    </font>
    <font>
      <sz val="10"/>
      <color rgb="FF0000FF"/>
      <name val="Aptos"/>
    </font>
    <font>
      <b/>
      <sz val="9"/>
      <color rgb="FF666666"/>
      <name val="Aptos"/>
    </font>
    <font>
      <b/>
      <sz val="10"/>
      <color rgb="FF000000"/>
      <name val="Aptos"/>
    </font>
    <font>
      <i/>
      <sz val="9"/>
      <color rgb="FF666666"/>
      <name val="Aptos"/>
    </font>
    <font>
      <b/>
      <sz val="9"/>
      <color rgb="FFFFFFFF"/>
      <name val="Aptos"/>
    </font>
    <font>
      <b/>
      <sz val="11"/>
      <color rgb="FF000000"/>
      <name val="Aptos"/>
    </font>
    <font>
      <b/>
      <sz val="11"/>
      <color rgb="FF0F6B78"/>
      <name val="Aptos"/>
    </font>
    <font>
      <b/>
      <sz val="10"/>
      <color rgb="FF17365D"/>
      <name val="Aptos"/>
    </font>
    <font>
      <b/>
      <sz val="18"/>
      <color rgb="FFFFFFFF"/>
      <name val="Aptos Display"/>
    </font>
    <font>
      <b/>
      <sz val="11"/>
      <color rgb="FFFFFFFF"/>
      <name val="Aptos"/>
    </font>
    <font>
      <b/>
      <sz val="11"/>
      <name val="Aptos"/>
    </font>
    <font>
      <sz val="12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EAF3F8"/>
      </patternFill>
    </fill>
    <fill>
      <patternFill patternType="solid">
        <fgColor rgb="FFD9EAF7"/>
      </patternFill>
    </fill>
    <fill>
      <patternFill patternType="solid">
        <fgColor rgb="FFDDEBF7"/>
      </patternFill>
    </fill>
    <fill>
      <patternFill patternType="solid">
        <fgColor rgb="FFE2F0D9"/>
      </patternFill>
    </fill>
    <fill>
      <patternFill patternType="solid">
        <fgColor rgb="FF0F6B78"/>
      </patternFill>
    </fill>
    <fill>
      <patternFill patternType="solid">
        <fgColor rgb="FFFCE4D6"/>
      </patternFill>
    </fill>
  </fills>
  <borders count="3">
    <border>
      <left/>
      <right/>
      <top/>
      <bottom/>
      <diagonal/>
    </border>
    <border>
      <left/>
      <right/>
      <top/>
      <bottom style="hair">
        <color rgb="FFD9D9D9"/>
      </bottom>
      <diagonal/>
    </border>
    <border>
      <left/>
      <right/>
      <top/>
      <bottom style="thin">
        <color rgb="FFB7B7B7"/>
      </bottom>
      <diagonal/>
    </border>
  </borders>
  <cellStyleXfs count="2">
    <xf numFmtId="0" fontId="0" fillId="0" borderId="0"/>
    <xf numFmtId="0" fontId="18" fillId="0" borderId="0"/>
  </cellStyleXfs>
  <cellXfs count="43">
    <xf numFmtId="0" fontId="0" fillId="0" borderId="0" xfId="0"/>
    <xf numFmtId="0" fontId="6" fillId="0" borderId="1" xfId="0" applyFont="1" applyBorder="1" applyAlignment="1">
      <alignment horizontal="left" vertical="center" wrapText="1"/>
    </xf>
    <xf numFmtId="1" fontId="7" fillId="4" borderId="2" xfId="0" applyNumberFormat="1" applyFont="1" applyFill="1" applyBorder="1" applyAlignment="1">
      <alignment horizontal="right"/>
    </xf>
    <xf numFmtId="164" fontId="9" fillId="5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5" fontId="7" fillId="4" borderId="2" xfId="0" applyNumberFormat="1" applyFont="1" applyFill="1" applyBorder="1" applyAlignment="1">
      <alignment horizontal="right"/>
    </xf>
    <xf numFmtId="166" fontId="6" fillId="0" borderId="1" xfId="0" applyNumberFormat="1" applyFont="1" applyBorder="1" applyAlignment="1">
      <alignment horizontal="right" vertical="center"/>
    </xf>
    <xf numFmtId="167" fontId="9" fillId="5" borderId="1" xfId="0" applyNumberFormat="1" applyFont="1" applyFill="1" applyBorder="1" applyAlignment="1">
      <alignment horizontal="right" vertical="center"/>
    </xf>
    <xf numFmtId="167" fontId="7" fillId="4" borderId="2" xfId="0" applyNumberFormat="1" applyFont="1" applyFill="1" applyBorder="1" applyAlignment="1">
      <alignment horizontal="right"/>
    </xf>
    <xf numFmtId="168" fontId="6" fillId="0" borderId="1" xfId="0" applyNumberFormat="1" applyFont="1" applyBorder="1" applyAlignment="1">
      <alignment horizontal="right" vertical="center"/>
    </xf>
    <xf numFmtId="168" fontId="7" fillId="4" borderId="2" xfId="0" applyNumberFormat="1" applyFont="1" applyFill="1" applyBorder="1" applyAlignment="1">
      <alignment horizontal="right"/>
    </xf>
    <xf numFmtId="169" fontId="9" fillId="5" borderId="1" xfId="0" applyNumberFormat="1" applyFont="1" applyFill="1" applyBorder="1" applyAlignment="1">
      <alignment horizontal="right" vertical="center"/>
    </xf>
    <xf numFmtId="0" fontId="9" fillId="6" borderId="1" xfId="0" applyFont="1" applyFill="1" applyBorder="1" applyAlignment="1">
      <alignment horizontal="right" vertical="center"/>
    </xf>
    <xf numFmtId="0" fontId="0" fillId="0" borderId="1" xfId="0" applyBorder="1"/>
    <xf numFmtId="169" fontId="7" fillId="4" borderId="2" xfId="0" applyNumberFormat="1" applyFont="1" applyFill="1" applyBorder="1" applyAlignment="1">
      <alignment horizontal="right"/>
    </xf>
    <xf numFmtId="168" fontId="9" fillId="5" borderId="1" xfId="0" applyNumberFormat="1" applyFont="1" applyFill="1" applyBorder="1" applyAlignment="1">
      <alignment horizontal="right" vertical="center"/>
    </xf>
    <xf numFmtId="164" fontId="7" fillId="4" borderId="2" xfId="0" applyNumberFormat="1" applyFont="1" applyFill="1" applyBorder="1" applyAlignment="1">
      <alignment horizontal="right"/>
    </xf>
    <xf numFmtId="0" fontId="8" fillId="0" borderId="0" xfId="0" applyFont="1"/>
    <xf numFmtId="0" fontId="11" fillId="7" borderId="0" xfId="0" applyFont="1" applyFill="1" applyAlignment="1">
      <alignment horizontal="center" vertical="center" wrapText="1"/>
    </xf>
    <xf numFmtId="169" fontId="12" fillId="0" borderId="2" xfId="0" applyNumberFormat="1" applyFont="1" applyBorder="1" applyAlignment="1">
      <alignment horizontal="center"/>
    </xf>
    <xf numFmtId="168" fontId="6" fillId="0" borderId="2" xfId="0" applyNumberFormat="1" applyFont="1" applyBorder="1" applyAlignment="1">
      <alignment horizontal="center" vertical="center"/>
    </xf>
    <xf numFmtId="167" fontId="9" fillId="5" borderId="2" xfId="0" applyNumberFormat="1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9" fontId="6" fillId="0" borderId="2" xfId="0" applyNumberFormat="1" applyFont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13" fillId="0" borderId="0" xfId="0" applyFont="1"/>
    <xf numFmtId="0" fontId="0" fillId="0" borderId="0" xfId="0" applyAlignment="1">
      <alignment wrapText="1"/>
    </xf>
    <xf numFmtId="0" fontId="16" fillId="7" borderId="0" xfId="0" applyFont="1" applyFill="1" applyAlignment="1">
      <alignment horizontal="left"/>
    </xf>
    <xf numFmtId="0" fontId="17" fillId="0" borderId="0" xfId="0" applyFont="1"/>
    <xf numFmtId="0" fontId="0" fillId="0" borderId="0" xfId="0" applyAlignment="1">
      <alignment vertical="top" wrapText="1"/>
    </xf>
    <xf numFmtId="0" fontId="18" fillId="0" borderId="0" xfId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4" fillId="0" borderId="0" xfId="0" applyFont="1" applyAlignment="1">
      <alignment wrapText="1"/>
    </xf>
    <xf numFmtId="0" fontId="5" fillId="2" borderId="0" xfId="0" applyFont="1" applyFill="1" applyAlignment="1">
      <alignment horizontal="left" vertical="center"/>
    </xf>
    <xf numFmtId="0" fontId="10" fillId="0" borderId="0" xfId="0" applyFont="1" applyAlignment="1">
      <alignment wrapText="1"/>
    </xf>
    <xf numFmtId="0" fontId="3" fillId="3" borderId="0" xfId="0" applyFont="1" applyFill="1" applyAlignment="1">
      <alignment horizontal="left"/>
    </xf>
    <xf numFmtId="0" fontId="4" fillId="8" borderId="0" xfId="0" applyFont="1" applyFill="1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wrapText="1"/>
    </xf>
    <xf numFmtId="0" fontId="14" fillId="5" borderId="0" xfId="0" applyFont="1" applyFill="1" applyAlignment="1">
      <alignment horizontal="center"/>
    </xf>
    <xf numFmtId="0" fontId="16" fillId="2" borderId="0" xfId="0" applyFont="1" applyFill="1"/>
    <xf numFmtId="0" fontId="15" fillId="2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7">
    <dxf>
      <fill>
        <patternFill patternType="solid">
          <fgColor rgb="FFF4CCCC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F4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lni.wa.gov/workers-rights/wages/overtime/" TargetMode="External"/><Relationship Id="rId2" Type="http://schemas.openxmlformats.org/officeDocument/2006/relationships/hyperlink" Target="https://lni.wa.gov/workers-rights/wages/minimum-wage/" TargetMode="External"/><Relationship Id="rId1" Type="http://schemas.openxmlformats.org/officeDocument/2006/relationships/hyperlink" Target="https://lawfilesext.leg.wa.gov/law/wsr/2026/14/26-14-088.htm" TargetMode="External"/><Relationship Id="rId4" Type="http://schemas.openxmlformats.org/officeDocument/2006/relationships/hyperlink" Target="https://www.courts.wa.gov/opinions/pdf/103519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7365D"/>
    <pageSetUpPr fitToPage="1"/>
  </sheetPr>
  <dimension ref="B2:K37"/>
  <sheetViews>
    <sheetView showGridLines="0" tabSelected="1" workbookViewId="0">
      <pane ySplit="6" topLeftCell="A7" activePane="bottomLeft" state="frozen"/>
      <selection pane="bottomLeft" activeCell="C11" sqref="C11"/>
    </sheetView>
  </sheetViews>
  <sheetFormatPr defaultRowHeight="14.5" x14ac:dyDescent="0.35"/>
  <cols>
    <col min="1" max="1" width="3" customWidth="1"/>
    <col min="2" max="2" width="32" customWidth="1"/>
    <col min="3" max="3" width="18" customWidth="1"/>
    <col min="4" max="4" width="4" customWidth="1"/>
    <col min="5" max="5" width="31" customWidth="1"/>
    <col min="6" max="6" width="20" customWidth="1"/>
    <col min="7" max="7" width="18" customWidth="1"/>
    <col min="8" max="8" width="20" customWidth="1"/>
    <col min="9" max="9" width="4" customWidth="1"/>
    <col min="10" max="11" width="18" hidden="1" customWidth="1"/>
  </cols>
  <sheetData>
    <row r="2" spans="2:8" ht="30" customHeight="1" x14ac:dyDescent="0.35">
      <c r="B2" s="38" t="s">
        <v>0</v>
      </c>
      <c r="C2" s="32"/>
      <c r="D2" s="32"/>
      <c r="E2" s="32"/>
      <c r="F2" s="32"/>
      <c r="G2" s="32"/>
      <c r="H2" s="32"/>
    </row>
    <row r="3" spans="2:8" x14ac:dyDescent="0.35">
      <c r="B3" s="39" t="s">
        <v>1</v>
      </c>
      <c r="C3" s="32"/>
      <c r="D3" s="32"/>
      <c r="E3" s="32"/>
      <c r="F3" s="32"/>
      <c r="G3" s="32"/>
      <c r="H3" s="32"/>
    </row>
    <row r="4" spans="2:8" x14ac:dyDescent="0.35">
      <c r="B4" s="36" t="s">
        <v>2</v>
      </c>
      <c r="C4" s="32"/>
      <c r="D4" s="32"/>
      <c r="E4" s="32"/>
      <c r="F4" s="32"/>
      <c r="G4" s="32"/>
      <c r="H4" s="32"/>
    </row>
    <row r="5" spans="2:8" x14ac:dyDescent="0.35">
      <c r="B5" s="33" t="s">
        <v>3</v>
      </c>
      <c r="C5" s="32"/>
      <c r="D5" s="32"/>
      <c r="E5" s="32"/>
      <c r="F5" s="32"/>
      <c r="G5" s="32"/>
      <c r="H5" s="32"/>
    </row>
    <row r="7" spans="2:8" ht="22" customHeight="1" x14ac:dyDescent="0.35">
      <c r="B7" s="34" t="s">
        <v>4</v>
      </c>
      <c r="C7" s="32"/>
      <c r="E7" s="34" t="s">
        <v>5</v>
      </c>
      <c r="F7" s="32"/>
      <c r="G7" s="32"/>
      <c r="H7" s="32"/>
    </row>
    <row r="8" spans="2:8" ht="26" x14ac:dyDescent="0.35">
      <c r="B8" s="1" t="s">
        <v>6</v>
      </c>
      <c r="C8" s="2">
        <v>6</v>
      </c>
      <c r="E8" s="1" t="s">
        <v>7</v>
      </c>
      <c r="F8" s="3">
        <f>MAX(0,$C$8-($C$9/12))</f>
        <v>5.5</v>
      </c>
      <c r="G8" s="1" t="s">
        <v>8</v>
      </c>
      <c r="H8" s="4">
        <f>IF($C$17&gt;$F$8,"",MAX(0,F8-$C$17))</f>
        <v>0</v>
      </c>
    </row>
    <row r="9" spans="2:8" x14ac:dyDescent="0.35">
      <c r="B9" s="1" t="s">
        <v>9</v>
      </c>
      <c r="C9" s="5">
        <v>6</v>
      </c>
      <c r="E9" s="1" t="s">
        <v>10</v>
      </c>
      <c r="F9" s="6">
        <f>F8*365</f>
        <v>2007.5</v>
      </c>
      <c r="G9" s="1" t="s">
        <v>11</v>
      </c>
      <c r="H9" s="7">
        <f>IF($C$17&gt;$F$8,"",IF(F9=0,0,(($C$17*365*$C$10)+(H8*12*$C$11))/F9))</f>
        <v>191.89</v>
      </c>
    </row>
    <row r="10" spans="2:8" ht="26" x14ac:dyDescent="0.35">
      <c r="B10" s="1" t="s">
        <v>12</v>
      </c>
      <c r="C10" s="8">
        <v>191.89</v>
      </c>
      <c r="E10" s="1" t="s">
        <v>13</v>
      </c>
      <c r="F10" s="4">
        <f>($C$13*12+$C$14*12)*7</f>
        <v>252</v>
      </c>
      <c r="G10" s="1" t="s">
        <v>14</v>
      </c>
      <c r="H10" s="9">
        <f>IF($C$17&gt;$F$8,"",($C$17*365*$C$10)+(H8*12*$C$11))</f>
        <v>385219.17499999999</v>
      </c>
    </row>
    <row r="11" spans="2:8" ht="26" x14ac:dyDescent="0.35">
      <c r="B11" s="1" t="s">
        <v>15</v>
      </c>
      <c r="C11" s="10">
        <v>9000</v>
      </c>
      <c r="E11" s="1" t="s">
        <v>16</v>
      </c>
      <c r="F11" s="6">
        <f>($C$13*12+$C$14*12)*365</f>
        <v>13140</v>
      </c>
      <c r="G11" s="1" t="s">
        <v>17</v>
      </c>
      <c r="H11" s="9">
        <f>IF($C$17&gt;$F$8,"",H10-F16)</f>
        <v>69427.599000000046</v>
      </c>
    </row>
    <row r="12" spans="2:8" ht="26" x14ac:dyDescent="0.35">
      <c r="B12" s="1" t="s">
        <v>18</v>
      </c>
      <c r="C12" s="8">
        <v>17.13</v>
      </c>
      <c r="E12" s="1" t="s">
        <v>19</v>
      </c>
      <c r="F12" s="3">
        <f>F11/(40*52)</f>
        <v>6.3173076923076925</v>
      </c>
      <c r="G12" s="1" t="s">
        <v>20</v>
      </c>
      <c r="H12" s="11">
        <f>IF($C$17&gt;$F$8,"",IF(H10=0,0,H11/H10))</f>
        <v>0.18022882427906151</v>
      </c>
    </row>
    <row r="13" spans="2:8" ht="26" x14ac:dyDescent="0.35">
      <c r="B13" s="1" t="s">
        <v>21</v>
      </c>
      <c r="C13" s="5">
        <v>2</v>
      </c>
      <c r="E13" s="1" t="s">
        <v>22</v>
      </c>
      <c r="F13" s="9">
        <f>F11*$C$12</f>
        <v>225088.19999999998</v>
      </c>
      <c r="G13" s="1" t="s">
        <v>23</v>
      </c>
      <c r="H13" s="12" t="str">
        <f>IF($C$17&lt;=F8,"OK","Review Medicaid residents")</f>
        <v>OK</v>
      </c>
    </row>
    <row r="14" spans="2:8" ht="26" x14ac:dyDescent="0.35">
      <c r="B14" s="1" t="s">
        <v>24</v>
      </c>
      <c r="C14" s="5">
        <v>1</v>
      </c>
      <c r="E14" s="1" t="s">
        <v>25</v>
      </c>
      <c r="F14" s="9">
        <f>F13*(1+$C$15)</f>
        <v>265604.07599999994</v>
      </c>
      <c r="G14" s="13"/>
      <c r="H14" s="13"/>
    </row>
    <row r="15" spans="2:8" x14ac:dyDescent="0.35">
      <c r="B15" s="1" t="s">
        <v>26</v>
      </c>
      <c r="C15" s="14">
        <v>0.18</v>
      </c>
      <c r="E15" s="1" t="s">
        <v>27</v>
      </c>
      <c r="F15" s="9">
        <f>F9*$C$16</f>
        <v>50187.5</v>
      </c>
      <c r="G15" s="13"/>
      <c r="H15" s="13"/>
    </row>
    <row r="16" spans="2:8" ht="26" x14ac:dyDescent="0.35">
      <c r="B16" s="1" t="s">
        <v>28</v>
      </c>
      <c r="C16" s="8">
        <v>25</v>
      </c>
      <c r="E16" s="1" t="s">
        <v>29</v>
      </c>
      <c r="F16" s="15">
        <f>SUM(F14:F15)</f>
        <v>315791.57599999994</v>
      </c>
      <c r="G16" s="13"/>
      <c r="H16" s="13"/>
    </row>
    <row r="17" spans="2:11" x14ac:dyDescent="0.35">
      <c r="B17" s="1" t="s">
        <v>30</v>
      </c>
      <c r="C17" s="16">
        <v>5.5</v>
      </c>
      <c r="E17" s="13"/>
      <c r="F17" s="13"/>
      <c r="G17" s="13"/>
      <c r="H17" s="13"/>
    </row>
    <row r="18" spans="2:11" x14ac:dyDescent="0.35">
      <c r="E18" s="35" t="s">
        <v>31</v>
      </c>
      <c r="F18" s="32"/>
      <c r="G18" s="32"/>
      <c r="H18" s="32"/>
    </row>
    <row r="19" spans="2:11" x14ac:dyDescent="0.35">
      <c r="B19" s="17" t="s">
        <v>32</v>
      </c>
      <c r="C19" s="33" t="s">
        <v>33</v>
      </c>
      <c r="D19" s="32"/>
      <c r="E19" s="32"/>
      <c r="F19" s="32"/>
      <c r="G19" s="32"/>
      <c r="H19" s="32"/>
    </row>
    <row r="21" spans="2:11" ht="22" customHeight="1" x14ac:dyDescent="0.35">
      <c r="B21" s="34" t="s">
        <v>34</v>
      </c>
      <c r="C21" s="32"/>
      <c r="D21" s="32"/>
      <c r="E21" s="32"/>
      <c r="F21" s="32"/>
      <c r="G21" s="32"/>
      <c r="H21" s="32"/>
    </row>
    <row r="22" spans="2:11" x14ac:dyDescent="0.35">
      <c r="B22" s="33" t="s">
        <v>35</v>
      </c>
      <c r="C22" s="32"/>
      <c r="D22" s="32"/>
      <c r="E22" s="32"/>
      <c r="F22" s="32"/>
      <c r="G22" s="32"/>
      <c r="H22" s="32"/>
    </row>
    <row r="24" spans="2:11" ht="40" customHeight="1" x14ac:dyDescent="0.35">
      <c r="B24" s="18" t="s">
        <v>36</v>
      </c>
      <c r="C24" s="18" t="s">
        <v>37</v>
      </c>
      <c r="D24" s="18" t="s">
        <v>38</v>
      </c>
      <c r="E24" s="18" t="s">
        <v>39</v>
      </c>
      <c r="F24" s="18" t="s">
        <v>40</v>
      </c>
      <c r="G24" s="18" t="s">
        <v>41</v>
      </c>
      <c r="H24" s="18" t="s">
        <v>42</v>
      </c>
    </row>
    <row r="25" spans="2:11" ht="27" customHeight="1" x14ac:dyDescent="0.35">
      <c r="B25" s="19">
        <v>0.35</v>
      </c>
      <c r="C25" s="20">
        <f>$F$16/(1-B25)</f>
        <v>485833.19384615374</v>
      </c>
      <c r="D25" s="21">
        <f>IF($F$9=0,0,C25/$F$9)</f>
        <v>242.00906293706288</v>
      </c>
      <c r="E25" s="22">
        <f>IF(K25=1,"Not achievable",J25)</f>
        <v>2.650516893272385</v>
      </c>
      <c r="F25" s="22">
        <f>IF(K25=1,"Not achievable",MAX(0,$F$8-J25))</f>
        <v>2.849483106727615</v>
      </c>
      <c r="G25" s="23">
        <f>IF(K25=1,"—",IF($F$8=0,0,J25/$F$8))</f>
        <v>0.48191216241316093</v>
      </c>
      <c r="H25" s="24" t="str">
        <f>IF(($C$11*12)&lt;=($C$10*365),"Increase private-pay rate",IF(K25=1,"Not achievable at this rate","Achievable"))</f>
        <v>Achievable</v>
      </c>
      <c r="J25">
        <f>IF(($C$11*12)&lt;=($C$10*365),999,MAX(0,(C25-($F$8*$C$10*365))/(($C$11*12)-($C$10*365))))</f>
        <v>2.650516893272385</v>
      </c>
      <c r="K25">
        <f>IF(J25&gt;$F$8,1,0)</f>
        <v>0</v>
      </c>
    </row>
    <row r="26" spans="2:11" ht="27" customHeight="1" x14ac:dyDescent="0.35">
      <c r="B26" s="19">
        <v>0.4</v>
      </c>
      <c r="C26" s="20">
        <f>$F$16/(1-B26)</f>
        <v>526319.29333333322</v>
      </c>
      <c r="D26" s="21">
        <f>IF($F$9=0,0,C26/$F$9)</f>
        <v>262.17648484848479</v>
      </c>
      <c r="E26" s="22">
        <f>IF(K26=1,"Not achievable",J26)</f>
        <v>3.7170590298861623</v>
      </c>
      <c r="F26" s="22">
        <f>IF(K26=1,"Not achievable",MAX(0,$F$8-J26))</f>
        <v>1.7829409701138377</v>
      </c>
      <c r="G26" s="23">
        <f>IF(K26=1,"—",IF($F$8=0,0,J26/$F$8))</f>
        <v>0.6758289145247568</v>
      </c>
      <c r="H26" s="24" t="str">
        <f>IF(($C$11*12)&lt;=($C$10*365),"Increase private-pay rate",IF(K26=1,"Not achievable at this rate","Achievable"))</f>
        <v>Achievable</v>
      </c>
      <c r="J26">
        <f>IF(($C$11*12)&lt;=($C$10*365),999,MAX(0,(C26-($F$8*$C$10*365))/(($C$11*12)-($C$10*365))))</f>
        <v>3.7170590298861623</v>
      </c>
      <c r="K26">
        <f>IF(J26&gt;$F$8,1,0)</f>
        <v>0</v>
      </c>
    </row>
    <row r="27" spans="2:11" ht="27" customHeight="1" x14ac:dyDescent="0.35">
      <c r="B27" s="19">
        <v>0.5</v>
      </c>
      <c r="C27" s="20">
        <f>$F$16/(1-B27)</f>
        <v>631583.15199999989</v>
      </c>
      <c r="D27" s="21">
        <f>IF($F$9=0,0,C27/$F$9)</f>
        <v>314.61178181818178</v>
      </c>
      <c r="E27" s="22" t="str">
        <f>IF(K27=1,"Not achievable",J27)</f>
        <v>Not achievable</v>
      </c>
      <c r="F27" s="22" t="str">
        <f>IF(K27=1,"Not achievable",MAX(0,$F$8-J27))</f>
        <v>Not achievable</v>
      </c>
      <c r="G27" s="23" t="str">
        <f>IF(K27=1,"—",IF($F$8=0,0,J27/$F$8))</f>
        <v>—</v>
      </c>
      <c r="H27" s="24" t="str">
        <f>IF(($C$11*12)&lt;=($C$10*365),"Increase private-pay rate",IF(K27=1,"Not achievable at this rate","Achievable"))</f>
        <v>Not achievable at this rate</v>
      </c>
      <c r="J27">
        <f>IF(($C$11*12)&lt;=($C$10*365),999,MAX(0,(C27-($F$8*$C$10*365))/(($C$11*12)-($C$10*365))))</f>
        <v>6.4900685850819828</v>
      </c>
      <c r="K27">
        <f>IF(J27&gt;$F$8,1,0)</f>
        <v>1</v>
      </c>
    </row>
    <row r="29" spans="2:11" x14ac:dyDescent="0.35">
      <c r="B29" s="35" t="s">
        <v>43</v>
      </c>
      <c r="C29" s="32"/>
      <c r="D29" s="32"/>
      <c r="E29" s="32"/>
      <c r="F29" s="32"/>
      <c r="G29" s="32"/>
      <c r="H29" s="32"/>
    </row>
    <row r="30" spans="2:11" x14ac:dyDescent="0.35">
      <c r="B30" s="37" t="s">
        <v>44</v>
      </c>
      <c r="C30" s="32"/>
      <c r="D30" s="32"/>
      <c r="E30" s="32"/>
      <c r="F30" s="32"/>
      <c r="G30" s="32"/>
      <c r="H30" s="32"/>
    </row>
    <row r="32" spans="2:11" ht="22" customHeight="1" x14ac:dyDescent="0.35">
      <c r="B32" s="34" t="s">
        <v>45</v>
      </c>
      <c r="C32" s="32"/>
      <c r="D32" s="32"/>
      <c r="E32" s="32"/>
      <c r="F32" s="32"/>
      <c r="G32" s="32"/>
      <c r="H32" s="32"/>
    </row>
    <row r="33" spans="2:8" x14ac:dyDescent="0.35">
      <c r="B33" s="25" t="s">
        <v>46</v>
      </c>
      <c r="C33" s="31" t="s">
        <v>47</v>
      </c>
      <c r="D33" s="32"/>
      <c r="E33" s="32"/>
      <c r="F33" s="32"/>
      <c r="G33" s="32"/>
      <c r="H33" s="32"/>
    </row>
    <row r="34" spans="2:8" x14ac:dyDescent="0.35">
      <c r="B34" s="25" t="s">
        <v>48</v>
      </c>
      <c r="C34" s="31" t="s">
        <v>49</v>
      </c>
      <c r="D34" s="32"/>
      <c r="E34" s="32"/>
      <c r="F34" s="32"/>
      <c r="G34" s="32"/>
      <c r="H34" s="32"/>
    </row>
    <row r="35" spans="2:8" x14ac:dyDescent="0.35">
      <c r="B35" s="25" t="s">
        <v>50</v>
      </c>
      <c r="C35" s="31" t="s">
        <v>51</v>
      </c>
      <c r="D35" s="32"/>
      <c r="E35" s="32"/>
      <c r="F35" s="32"/>
      <c r="G35" s="32"/>
      <c r="H35" s="32"/>
    </row>
    <row r="37" spans="2:8" x14ac:dyDescent="0.35">
      <c r="B37" s="40" t="s">
        <v>52</v>
      </c>
      <c r="C37" s="32"/>
      <c r="D37" s="32"/>
      <c r="E37" s="32"/>
      <c r="F37" s="32"/>
      <c r="G37" s="32"/>
      <c r="H37" s="32"/>
    </row>
  </sheetData>
  <mergeCells count="17">
    <mergeCell ref="C35:H35"/>
    <mergeCell ref="C34:H34"/>
    <mergeCell ref="B3:H3"/>
    <mergeCell ref="B5:H5"/>
    <mergeCell ref="B37:H37"/>
    <mergeCell ref="B7:C7"/>
    <mergeCell ref="B4:H4"/>
    <mergeCell ref="B21:H21"/>
    <mergeCell ref="B30:H30"/>
    <mergeCell ref="B2:H2"/>
    <mergeCell ref="E7:H7"/>
    <mergeCell ref="B29:H29"/>
    <mergeCell ref="C33:H33"/>
    <mergeCell ref="B22:H22"/>
    <mergeCell ref="B32:H32"/>
    <mergeCell ref="C19:H19"/>
    <mergeCell ref="E18:H18"/>
  </mergeCells>
  <conditionalFormatting sqref="H12">
    <cfRule type="cellIs" dxfId="6" priority="1" operator="lessThan">
      <formula>0.35</formula>
    </cfRule>
    <cfRule type="cellIs" dxfId="5" priority="2" operator="between">
      <formula>0.35</formula>
      <formula>0.399999</formula>
    </cfRule>
    <cfRule type="cellIs" dxfId="4" priority="3" operator="greaterThanOrEqual">
      <formula>0.4</formula>
    </cfRule>
  </conditionalFormatting>
  <conditionalFormatting sqref="H13">
    <cfRule type="expression" dxfId="3" priority="4">
      <formula>$C$17&gt;$F$8</formula>
    </cfRule>
  </conditionalFormatting>
  <conditionalFormatting sqref="H25">
    <cfRule type="expression" dxfId="2" priority="5">
      <formula>$K$25=1</formula>
    </cfRule>
  </conditionalFormatting>
  <conditionalFormatting sqref="H26">
    <cfRule type="expression" dxfId="1" priority="6">
      <formula>$K$26=1</formula>
    </cfRule>
  </conditionalFormatting>
  <conditionalFormatting sqref="H27">
    <cfRule type="expression" dxfId="0" priority="7">
      <formula>$K$27=1</formula>
    </cfRule>
  </conditionalFormatting>
  <dataValidations count="4">
    <dataValidation type="whole" errorTitle="Licensed beds" error="Enter licensed beds from 1 through 8." sqref="C8" xr:uid="{00000000-0002-0000-0000-000000000000}">
      <formula1>1</formula1>
      <formula2>8</formula2>
    </dataValidation>
    <dataValidation type="decimal" error="Enter a non-negative number of vacant bed-months." sqref="C9" xr:uid="{00000000-0002-0000-0000-000001000000}">
      <formula1>0</formula1>
      <formula2>96</formula2>
    </dataValidation>
    <dataValidation type="decimal" operator="greaterThanOrEqual" sqref="C10 C11 C12 C13 C14 C16 C17" xr:uid="{00000000-0002-0000-0000-000002000000}">
      <formula1>0</formula1>
    </dataValidation>
    <dataValidation type="decimal" error="Enter a percentage from 0% to 100%." sqref="C15" xr:uid="{00000000-0002-0000-0000-000003000000}">
      <formula1>0</formula1>
      <formula2>1</formula2>
    </dataValidation>
  </dataValidations>
  <printOptions horizontalCentered="1"/>
  <pageMargins left="0.75" right="0.75" top="1" bottom="1" header="0.5" footer="0.5"/>
  <pageSetup fitToHeight="0" orientation="landscape"/>
  <headerFooter>
    <oddFooter>&amp;C&amp;8 &amp;K666666Arete Architecture | Educational financial-planning tool | Updated August 2026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F6B78"/>
  </sheetPr>
  <dimension ref="B2:C27"/>
  <sheetViews>
    <sheetView showGridLines="0" workbookViewId="0"/>
  </sheetViews>
  <sheetFormatPr defaultRowHeight="14.5" x14ac:dyDescent="0.35"/>
  <cols>
    <col min="1" max="1" width="3" customWidth="1"/>
    <col min="2" max="2" width="28" customWidth="1"/>
    <col min="3" max="3" width="95" customWidth="1"/>
  </cols>
  <sheetData>
    <row r="2" spans="2:3" ht="23.5" x14ac:dyDescent="0.55000000000000004">
      <c r="B2" s="42" t="s">
        <v>53</v>
      </c>
      <c r="C2" s="32"/>
    </row>
    <row r="4" spans="2:3" x14ac:dyDescent="0.35">
      <c r="B4" s="27" t="s">
        <v>54</v>
      </c>
      <c r="C4" s="27" t="s">
        <v>55</v>
      </c>
    </row>
    <row r="5" spans="2:3" ht="36" customHeight="1" x14ac:dyDescent="0.35">
      <c r="B5" s="28" t="s">
        <v>56</v>
      </c>
      <c r="C5" s="29" t="s">
        <v>57</v>
      </c>
    </row>
    <row r="6" spans="2:3" ht="36" customHeight="1" x14ac:dyDescent="0.35">
      <c r="B6" s="28" t="s">
        <v>58</v>
      </c>
      <c r="C6" s="29" t="s">
        <v>59</v>
      </c>
    </row>
    <row r="7" spans="2:3" ht="36" customHeight="1" x14ac:dyDescent="0.35">
      <c r="B7" s="28" t="s">
        <v>26</v>
      </c>
      <c r="C7" s="29" t="s">
        <v>60</v>
      </c>
    </row>
    <row r="8" spans="2:3" ht="36" customHeight="1" x14ac:dyDescent="0.35">
      <c r="B8" s="28" t="s">
        <v>61</v>
      </c>
      <c r="C8" s="29" t="s">
        <v>62</v>
      </c>
    </row>
    <row r="9" spans="2:3" ht="36" customHeight="1" x14ac:dyDescent="0.35">
      <c r="B9" s="28" t="s">
        <v>63</v>
      </c>
      <c r="C9" s="29" t="s">
        <v>64</v>
      </c>
    </row>
    <row r="10" spans="2:3" ht="36" customHeight="1" x14ac:dyDescent="0.35">
      <c r="B10" s="28" t="s">
        <v>65</v>
      </c>
      <c r="C10" s="29" t="s">
        <v>66</v>
      </c>
    </row>
    <row r="13" spans="2:3" x14ac:dyDescent="0.35">
      <c r="B13" s="41" t="s">
        <v>67</v>
      </c>
      <c r="C13" s="32"/>
    </row>
    <row r="15" spans="2:3" ht="15.5" x14ac:dyDescent="0.35">
      <c r="B15" t="s">
        <v>68</v>
      </c>
      <c r="C15" s="30" t="s">
        <v>69</v>
      </c>
    </row>
    <row r="16" spans="2:3" ht="15.5" x14ac:dyDescent="0.35">
      <c r="B16" t="s">
        <v>70</v>
      </c>
      <c r="C16" s="30" t="s">
        <v>71</v>
      </c>
    </row>
    <row r="17" spans="2:3" ht="15.5" x14ac:dyDescent="0.35">
      <c r="B17" t="s">
        <v>72</v>
      </c>
      <c r="C17" s="30" t="s">
        <v>73</v>
      </c>
    </row>
    <row r="18" spans="2:3" ht="15.5" x14ac:dyDescent="0.35">
      <c r="B18" t="s">
        <v>74</v>
      </c>
      <c r="C18" s="30" t="s">
        <v>75</v>
      </c>
    </row>
    <row r="21" spans="2:3" x14ac:dyDescent="0.35">
      <c r="B21" s="41" t="s">
        <v>76</v>
      </c>
      <c r="C21" s="32"/>
    </row>
    <row r="22" spans="2:3" x14ac:dyDescent="0.35">
      <c r="B22" t="s">
        <v>77</v>
      </c>
      <c r="C22" s="26" t="s">
        <v>78</v>
      </c>
    </row>
    <row r="23" spans="2:3" x14ac:dyDescent="0.35">
      <c r="B23" t="s">
        <v>77</v>
      </c>
      <c r="C23" s="26" t="s">
        <v>79</v>
      </c>
    </row>
    <row r="24" spans="2:3" ht="43.5" x14ac:dyDescent="0.35">
      <c r="B24" t="s">
        <v>77</v>
      </c>
      <c r="C24" s="26" t="s">
        <v>80</v>
      </c>
    </row>
    <row r="25" spans="2:3" x14ac:dyDescent="0.35">
      <c r="B25" t="s">
        <v>77</v>
      </c>
      <c r="C25" s="26" t="s">
        <v>81</v>
      </c>
    </row>
    <row r="26" spans="2:3" ht="29" x14ac:dyDescent="0.35">
      <c r="B26" t="s">
        <v>77</v>
      </c>
      <c r="C26" s="26" t="s">
        <v>82</v>
      </c>
    </row>
    <row r="27" spans="2:3" ht="29" x14ac:dyDescent="0.35">
      <c r="B27" t="s">
        <v>77</v>
      </c>
      <c r="C27" s="26" t="s">
        <v>83</v>
      </c>
    </row>
  </sheetData>
  <mergeCells count="3">
    <mergeCell ref="B13:C13"/>
    <mergeCell ref="B21:C21"/>
    <mergeCell ref="B2:C2"/>
  </mergeCells>
  <hyperlinks>
    <hyperlink ref="C15" r:id="rId1" xr:uid="{00000000-0004-0000-0100-000000000000}"/>
    <hyperlink ref="C16" r:id="rId2" xr:uid="{00000000-0004-0000-0100-000001000000}"/>
    <hyperlink ref="C17" r:id="rId3" xr:uid="{00000000-0004-0000-0100-000002000000}"/>
    <hyperlink ref="C18" r:id="rId4" xr:uid="{00000000-0004-0000-0100-000003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AFH Home Analysis</vt:lpstr>
      <vt:lpstr>Definitions &amp; 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Michael Garrett</cp:lastModifiedBy>
  <dcterms:created xsi:type="dcterms:W3CDTF">2026-08-13T16:52:29Z</dcterms:created>
  <dcterms:modified xsi:type="dcterms:W3CDTF">2026-08-13T17:32:26Z</dcterms:modified>
</cp:coreProperties>
</file>